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en\WABEsense\datalogger_hardware\research\"/>
    </mc:Choice>
  </mc:AlternateContent>
  <bookViews>
    <workbookView xWindow="0" yWindow="0" windowWidth="28800" windowHeight="14112"/>
  </bookViews>
  <sheets>
    <sheet name="Calculations" sheetId="1" r:id="rId1"/>
    <sheet name="Measured" sheetId="8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7" i="1" s="1"/>
  <c r="G25" i="1"/>
  <c r="G23" i="1" l="1"/>
  <c r="C25" i="1"/>
  <c r="E25" i="1" s="1"/>
  <c r="D25" i="1"/>
  <c r="G5" i="1"/>
  <c r="J5" i="1" s="1"/>
  <c r="H21" i="1" l="1"/>
  <c r="I21" i="1" s="1"/>
  <c r="J21" i="1" s="1"/>
  <c r="L21" i="1" s="1"/>
  <c r="H20" i="1"/>
  <c r="I20" i="1" s="1"/>
  <c r="J20" i="1" s="1"/>
  <c r="L20" i="1" s="1"/>
  <c r="H19" i="1"/>
  <c r="G7" i="1"/>
  <c r="J7" i="1" s="1"/>
  <c r="G6" i="1"/>
  <c r="J6" i="1" s="1"/>
  <c r="I19" i="1" l="1"/>
  <c r="H23" i="1"/>
  <c r="G20" i="1"/>
  <c r="G21" i="1"/>
  <c r="G19" i="1"/>
  <c r="C21" i="1"/>
  <c r="C13" i="1"/>
  <c r="D21" i="1" s="1"/>
  <c r="J19" i="1" l="1"/>
  <c r="I23" i="1"/>
  <c r="E3" i="1"/>
  <c r="E6" i="1"/>
  <c r="E7" i="1"/>
  <c r="E5" i="1"/>
  <c r="J23" i="1" l="1"/>
  <c r="L19" i="1"/>
  <c r="L23" i="1" s="1"/>
  <c r="E4" i="1"/>
  <c r="D19" i="1" l="1"/>
  <c r="D30" i="1" l="1"/>
  <c r="D28" i="1"/>
  <c r="D29" i="1"/>
</calcChain>
</file>

<file path=xl/sharedStrings.xml><?xml version="1.0" encoding="utf-8"?>
<sst xmlns="http://schemas.openxmlformats.org/spreadsheetml/2006/main" count="63" uniqueCount="51">
  <si>
    <t>uNominal</t>
  </si>
  <si>
    <t>cNominal</t>
  </si>
  <si>
    <t>[Ah]</t>
  </si>
  <si>
    <t>[V]</t>
  </si>
  <si>
    <t>Active</t>
  </si>
  <si>
    <t>State</t>
  </si>
  <si>
    <t>c-Factor</t>
  </si>
  <si>
    <t>MeasInterval</t>
  </si>
  <si>
    <t>[s]</t>
  </si>
  <si>
    <t>[min]</t>
  </si>
  <si>
    <t>[mAh]</t>
  </si>
  <si>
    <t>Standby</t>
  </si>
  <si>
    <t>used capacity</t>
  </si>
  <si>
    <t>Estimated accumulator lifetime</t>
  </si>
  <si>
    <t>[%]</t>
  </si>
  <si>
    <t>time [s]</t>
  </si>
  <si>
    <t>include self-discharge case1</t>
  </si>
  <si>
    <t>include self-discharge case2</t>
  </si>
  <si>
    <t>Self-Discharge/Month (case1)</t>
  </si>
  <si>
    <t>Self-Discharge/Month (case2)</t>
  </si>
  <si>
    <t>Self-Discharge/Month (case3)</t>
  </si>
  <si>
    <t>include self-discharge case3</t>
  </si>
  <si>
    <t>[%/day]</t>
  </si>
  <si>
    <t>max. life-time [days]</t>
  </si>
  <si>
    <t>field to be modify</t>
  </si>
  <si>
    <t>main results (System/Accumulator balance)</t>
  </si>
  <si>
    <t>mainly not to be modified</t>
  </si>
  <si>
    <t>DataReadOut</t>
  </si>
  <si>
    <t>Cycles [day]</t>
  </si>
  <si>
    <t>TimePerCycle [s]</t>
  </si>
  <si>
    <t>DataReadOutAverageCurrent [mA]</t>
  </si>
  <si>
    <t>DataReadOutTime/Day [s]</t>
  </si>
  <si>
    <t>average
current [mA]</t>
  </si>
  <si>
    <t>System (Currents @3V3 Output)</t>
  </si>
  <si>
    <t>NrOfAccumulators</t>
  </si>
  <si>
    <t>Efficency</t>
  </si>
  <si>
    <t>Total</t>
  </si>
  <si>
    <t>[mWh/day]</t>
  </si>
  <si>
    <t>average current [mA] @vBat</t>
  </si>
  <si>
    <t>average power consumption @vBat [mW]</t>
  </si>
  <si>
    <t>average power consumption/measurement @vBat [mW]</t>
  </si>
  <si>
    <t>average power consumption/day @vBat [mW]</t>
  </si>
  <si>
    <t>average power consumption/year @vBat [W]</t>
  </si>
  <si>
    <t>Energy [Wh]</t>
  </si>
  <si>
    <t>NrOfMeas/Year</t>
  </si>
  <si>
    <t>Energy/Meas [mWh]</t>
  </si>
  <si>
    <t>[mWh/year]</t>
  </si>
  <si>
    <t>[Wh/year]</t>
  </si>
  <si>
    <t>[h]</t>
  </si>
  <si>
    <t>[years]</t>
  </si>
  <si>
    <t>[days]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</si>
</sst>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5" x14ac:knownFonts="1"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rgb="FFFF0000"/>
      <name val="Arial"/>
      <family val="2"/>
    </font>
    <font>
      <i/>
      <sz val="11"/>
      <color rgb="FFFF0000"/>
      <name val="Arial"/>
      <family val="2"/>
    </font>
    <font>
      <b/>
      <i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4" fontId="1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0" fillId="2" borderId="0" xfId="0" applyFill="1" applyAlignment="1">
      <alignment vertical="center"/>
    </xf>
    <xf numFmtId="4" fontId="0" fillId="4" borderId="0" xfId="0" applyNumberFormat="1" applyFill="1" applyAlignment="1">
      <alignment vertical="center"/>
    </xf>
    <xf numFmtId="164" fontId="0" fillId="0" borderId="0" xfId="0" applyNumberFormat="1" applyBorder="1" applyAlignment="1">
      <alignment vertical="center"/>
    </xf>
    <xf numFmtId="164" fontId="0" fillId="3" borderId="3" xfId="0" applyNumberForma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164" fontId="0" fillId="3" borderId="5" xfId="0" applyNumberForma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164" fontId="0" fillId="3" borderId="7" xfId="0" applyNumberForma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4" fontId="1" fillId="0" borderId="0" xfId="0" applyNumberFormat="1" applyFont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0" fillId="0" borderId="9" xfId="0" applyBorder="1" applyAlignment="1">
      <alignment vertical="center"/>
    </xf>
    <xf numFmtId="0" fontId="1" fillId="0" borderId="10" xfId="0" applyFont="1" applyBorder="1" applyAlignment="1">
      <alignment horizontal="right" vertical="center"/>
    </xf>
    <xf numFmtId="0" fontId="0" fillId="2" borderId="0" xfId="0" applyFill="1" applyBorder="1" applyAlignment="1">
      <alignment vertical="center"/>
    </xf>
    <xf numFmtId="0" fontId="0" fillId="0" borderId="11" xfId="0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0" xfId="0" applyFont="1" applyBorder="1" applyAlignment="1">
      <alignment horizontal="right" vertical="center" wrapText="1"/>
    </xf>
    <xf numFmtId="4" fontId="0" fillId="0" borderId="10" xfId="0" applyNumberFormat="1" applyBorder="1" applyAlignment="1">
      <alignment vertical="center"/>
    </xf>
    <xf numFmtId="4" fontId="0" fillId="0" borderId="13" xfId="0" applyNumberFormat="1" applyFill="1" applyBorder="1" applyAlignment="1">
      <alignment vertical="center"/>
    </xf>
    <xf numFmtId="4" fontId="1" fillId="0" borderId="12" xfId="0" applyNumberFormat="1" applyFont="1" applyBorder="1" applyAlignment="1">
      <alignment vertical="center"/>
    </xf>
    <xf numFmtId="4" fontId="0" fillId="0" borderId="0" xfId="0" applyNumberFormat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164" fontId="1" fillId="3" borderId="20" xfId="0" applyNumberFormat="1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3" fillId="2" borderId="18" xfId="0" applyFont="1" applyFill="1" applyBorder="1" applyAlignment="1">
      <alignment vertical="center"/>
    </xf>
    <xf numFmtId="164" fontId="4" fillId="3" borderId="20" xfId="0" applyNumberFormat="1" applyFont="1" applyFill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 wrapText="1"/>
    </xf>
    <xf numFmtId="3" fontId="0" fillId="0" borderId="0" xfId="0" applyNumberFormat="1" applyAlignment="1">
      <alignment vertical="center"/>
    </xf>
    <xf numFmtId="4" fontId="0" fillId="4" borderId="0" xfId="0" applyNumberFormat="1" applyFill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4" fontId="0" fillId="2" borderId="0" xfId="0" applyNumberFormat="1" applyFill="1" applyAlignment="1">
      <alignment horizontal="left" vertical="center"/>
    </xf>
    <xf numFmtId="164" fontId="0" fillId="3" borderId="0" xfId="0" applyNumberFormat="1" applyFill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workbookViewId="0">
      <selection activeCell="G23" sqref="G23"/>
    </sheetView>
  </sheetViews>
  <sheetFormatPr baseColWidth="10" defaultColWidth="9" defaultRowHeight="13.8" x14ac:dyDescent="0.25"/>
  <cols>
    <col min="1" max="1" width="24.5" style="1" bestFit="1" customWidth="1"/>
    <col min="2" max="2" width="28.796875" style="1" bestFit="1" customWidth="1"/>
    <col min="3" max="3" width="11.5" style="1" bestFit="1" customWidth="1"/>
    <col min="4" max="4" width="10.3984375" style="1" bestFit="1" customWidth="1"/>
    <col min="5" max="5" width="7.69921875" style="1" bestFit="1" customWidth="1"/>
    <col min="6" max="6" width="6.8984375" style="1" bestFit="1" customWidth="1"/>
    <col min="7" max="7" width="18.8984375" style="1" bestFit="1" customWidth="1"/>
    <col min="8" max="8" width="16.69921875" style="1" bestFit="1" customWidth="1"/>
    <col min="9" max="9" width="16.796875" style="1" bestFit="1" customWidth="1"/>
    <col min="10" max="10" width="15.19921875" style="1" bestFit="1" customWidth="1"/>
    <col min="11" max="11" width="10.69921875" style="1" bestFit="1" customWidth="1"/>
    <col min="12" max="12" width="16.09765625" style="1" bestFit="1" customWidth="1"/>
    <col min="13" max="16384" width="9" style="1"/>
  </cols>
  <sheetData>
    <row r="1" spans="2:11" x14ac:dyDescent="0.25">
      <c r="B1" s="1" t="s">
        <v>34</v>
      </c>
      <c r="C1" s="1">
        <v>2</v>
      </c>
    </row>
    <row r="2" spans="2:11" ht="14.4" x14ac:dyDescent="0.25">
      <c r="B2" s="1" t="s">
        <v>0</v>
      </c>
      <c r="C2" s="1">
        <v>3.6</v>
      </c>
      <c r="D2" s="3" t="s">
        <v>3</v>
      </c>
    </row>
    <row r="3" spans="2:11" ht="14.4" x14ac:dyDescent="0.25">
      <c r="B3" s="1" t="s">
        <v>1</v>
      </c>
      <c r="C3" s="6">
        <v>2.6</v>
      </c>
      <c r="D3" s="3" t="s">
        <v>2</v>
      </c>
      <c r="E3" s="1">
        <f>C3*1000</f>
        <v>2600</v>
      </c>
      <c r="F3" s="3" t="s">
        <v>10</v>
      </c>
    </row>
    <row r="4" spans="2:11" ht="15" thickBot="1" x14ac:dyDescent="0.3">
      <c r="B4" s="1" t="s">
        <v>7</v>
      </c>
      <c r="C4" s="6">
        <v>10</v>
      </c>
      <c r="D4" s="3" t="s">
        <v>9</v>
      </c>
      <c r="E4" s="1">
        <f>C4*60</f>
        <v>600</v>
      </c>
      <c r="F4" s="3" t="s">
        <v>8</v>
      </c>
    </row>
    <row r="5" spans="2:11" ht="14.4" x14ac:dyDescent="0.25">
      <c r="B5" s="1" t="s">
        <v>18</v>
      </c>
      <c r="C5" s="1">
        <v>1</v>
      </c>
      <c r="D5" s="3" t="s">
        <v>14</v>
      </c>
      <c r="E5" s="5">
        <f>C5/31</f>
        <v>3.2258064516129031E-2</v>
      </c>
      <c r="F5" s="1" t="s">
        <v>22</v>
      </c>
      <c r="G5" s="9">
        <f>($E$3*$C$1*$C$2)*(E5/100)</f>
        <v>6.0387096774193552</v>
      </c>
      <c r="H5" s="10" t="s">
        <v>37</v>
      </c>
      <c r="J5" s="1">
        <f>G5*365/1000</f>
        <v>2.2041290322580647</v>
      </c>
      <c r="K5" s="1" t="s">
        <v>47</v>
      </c>
    </row>
    <row r="6" spans="2:11" ht="14.4" x14ac:dyDescent="0.25">
      <c r="B6" s="1" t="s">
        <v>19</v>
      </c>
      <c r="C6" s="1">
        <v>3</v>
      </c>
      <c r="D6" s="3" t="s">
        <v>14</v>
      </c>
      <c r="E6" s="5">
        <f t="shared" ref="E6:E7" si="0">C6/31</f>
        <v>9.6774193548387094E-2</v>
      </c>
      <c r="F6" s="1" t="s">
        <v>22</v>
      </c>
      <c r="G6" s="11">
        <f t="shared" ref="G6:G7" si="1">($E$3*$C$1*$C$2)*(E6/100)</f>
        <v>18.116129032258065</v>
      </c>
      <c r="H6" s="12" t="s">
        <v>37</v>
      </c>
      <c r="J6" s="1">
        <f t="shared" ref="J6:J7" si="2">G6*365/1000</f>
        <v>6.612387096774194</v>
      </c>
      <c r="K6" s="1" t="s">
        <v>46</v>
      </c>
    </row>
    <row r="7" spans="2:11" ht="15" thickBot="1" x14ac:dyDescent="0.3">
      <c r="B7" s="1" t="s">
        <v>20</v>
      </c>
      <c r="C7" s="1">
        <v>5</v>
      </c>
      <c r="D7" s="3" t="s">
        <v>14</v>
      </c>
      <c r="E7" s="5">
        <f t="shared" si="0"/>
        <v>0.16129032258064516</v>
      </c>
      <c r="F7" s="1" t="s">
        <v>22</v>
      </c>
      <c r="G7" s="13">
        <f t="shared" si="1"/>
        <v>30.193548387096776</v>
      </c>
      <c r="H7" s="14" t="s">
        <v>37</v>
      </c>
      <c r="J7" s="1">
        <f t="shared" si="2"/>
        <v>11.020645161290323</v>
      </c>
      <c r="K7" s="1" t="s">
        <v>46</v>
      </c>
    </row>
    <row r="8" spans="2:11" ht="14.4" x14ac:dyDescent="0.25">
      <c r="D8" s="3"/>
      <c r="E8" s="5"/>
    </row>
    <row r="9" spans="2:11" ht="14.4" customHeight="1" x14ac:dyDescent="0.25">
      <c r="B9" s="46" t="s">
        <v>27</v>
      </c>
      <c r="C9" s="47"/>
      <c r="D9" s="48"/>
      <c r="E9" s="5"/>
    </row>
    <row r="10" spans="2:11" ht="14.4" x14ac:dyDescent="0.25">
      <c r="B10" s="25" t="s">
        <v>28</v>
      </c>
      <c r="C10" s="40">
        <v>90</v>
      </c>
      <c r="D10" s="26"/>
      <c r="E10" s="5"/>
    </row>
    <row r="11" spans="2:11" ht="14.4" x14ac:dyDescent="0.25">
      <c r="B11" s="17" t="s">
        <v>29</v>
      </c>
      <c r="C11" s="39">
        <v>60</v>
      </c>
      <c r="D11" s="27"/>
      <c r="E11" s="5"/>
    </row>
    <row r="12" spans="2:11" ht="14.4" x14ac:dyDescent="0.25">
      <c r="B12" s="17" t="s">
        <v>30</v>
      </c>
      <c r="C12" s="39">
        <v>50</v>
      </c>
      <c r="D12" s="27"/>
      <c r="E12" s="5"/>
    </row>
    <row r="13" spans="2:11" ht="14.4" x14ac:dyDescent="0.25">
      <c r="B13" s="20" t="s">
        <v>31</v>
      </c>
      <c r="C13" s="32">
        <f>C11/C10</f>
        <v>0.66666666666666663</v>
      </c>
      <c r="D13" s="28"/>
      <c r="E13" s="5"/>
    </row>
    <row r="14" spans="2:11" ht="14.4" x14ac:dyDescent="0.25">
      <c r="C14" s="3"/>
      <c r="D14" s="3"/>
      <c r="E14" s="5"/>
    </row>
    <row r="15" spans="2:11" ht="14.4" x14ac:dyDescent="0.25">
      <c r="C15" s="3"/>
      <c r="D15" s="3"/>
      <c r="E15" s="5"/>
    </row>
    <row r="17" spans="1:17" ht="14.4" thickBot="1" x14ac:dyDescent="0.3">
      <c r="B17" s="46" t="s">
        <v>33</v>
      </c>
      <c r="C17" s="47"/>
      <c r="D17" s="48"/>
      <c r="E17" s="24"/>
      <c r="F17" s="24"/>
      <c r="G17" s="24"/>
      <c r="H17" s="24"/>
      <c r="I17" s="24"/>
    </row>
    <row r="18" spans="1:17" ht="57.6" x14ac:dyDescent="0.25">
      <c r="B18" s="21" t="s">
        <v>5</v>
      </c>
      <c r="C18" s="29" t="s">
        <v>32</v>
      </c>
      <c r="D18" s="18" t="s">
        <v>15</v>
      </c>
      <c r="E18" s="16"/>
      <c r="F18" s="16" t="s">
        <v>35</v>
      </c>
      <c r="G18" s="29" t="s">
        <v>38</v>
      </c>
      <c r="H18" s="29" t="s">
        <v>39</v>
      </c>
      <c r="I18" s="29" t="s">
        <v>40</v>
      </c>
      <c r="J18" s="36" t="s">
        <v>41</v>
      </c>
      <c r="L18" s="36" t="s">
        <v>42</v>
      </c>
    </row>
    <row r="19" spans="1:17" ht="14.4" x14ac:dyDescent="0.25">
      <c r="B19" s="17" t="s">
        <v>11</v>
      </c>
      <c r="C19" s="19">
        <v>3.5000000000000003E-2</v>
      </c>
      <c r="D19" s="30">
        <f>E4-D20-D21</f>
        <v>594.33333333333337</v>
      </c>
      <c r="E19" s="33"/>
      <c r="F19" s="8">
        <v>50</v>
      </c>
      <c r="G19" s="8">
        <f>C19*100/F19</f>
        <v>7.0000000000000007E-2</v>
      </c>
      <c r="H19" s="8">
        <f>($C$2*$C$1)*G19</f>
        <v>0.50400000000000011</v>
      </c>
      <c r="I19" s="8">
        <f>H19*D19/$E$4</f>
        <v>0.49924000000000018</v>
      </c>
      <c r="J19" s="37">
        <f>I19*(24*3600/$E$4)</f>
        <v>71.890560000000022</v>
      </c>
      <c r="L19" s="37">
        <f>J19*365/1000</f>
        <v>26.240054400000009</v>
      </c>
      <c r="Q19" s="3"/>
    </row>
    <row r="20" spans="1:17" ht="14.4" x14ac:dyDescent="0.25">
      <c r="B20" s="17" t="s">
        <v>4</v>
      </c>
      <c r="C20" s="39">
        <v>10</v>
      </c>
      <c r="D20" s="22">
        <v>5</v>
      </c>
      <c r="E20" s="33"/>
      <c r="F20" s="8">
        <v>85</v>
      </c>
      <c r="G20" s="8">
        <f t="shared" ref="G20:G21" si="3">C20*100/F20</f>
        <v>11.764705882352942</v>
      </c>
      <c r="H20" s="8">
        <f>($C$2*$C$1)*G20</f>
        <v>84.705882352941188</v>
      </c>
      <c r="I20" s="8">
        <f t="shared" ref="I20:I21" si="4">H20*D20/$E$4</f>
        <v>0.70588235294117663</v>
      </c>
      <c r="J20" s="37">
        <f t="shared" ref="J20:J21" si="5">I20*(24*3600/$E$4)</f>
        <v>101.64705882352943</v>
      </c>
      <c r="L20" s="37">
        <f t="shared" ref="L20:L21" si="6">J20*365/1000</f>
        <v>37.101176470588243</v>
      </c>
      <c r="Q20" s="3"/>
    </row>
    <row r="21" spans="1:17" ht="14.4" x14ac:dyDescent="0.25">
      <c r="B21" s="20" t="s">
        <v>27</v>
      </c>
      <c r="C21" s="23">
        <f>C12</f>
        <v>50</v>
      </c>
      <c r="D21" s="31">
        <f>C13</f>
        <v>0.66666666666666663</v>
      </c>
      <c r="E21" s="34"/>
      <c r="F21" s="35">
        <v>88</v>
      </c>
      <c r="G21" s="8">
        <f t="shared" si="3"/>
        <v>56.81818181818182</v>
      </c>
      <c r="H21" s="8">
        <f>($C$2*$C$1)*G21</f>
        <v>409.09090909090912</v>
      </c>
      <c r="I21" s="8">
        <f t="shared" si="4"/>
        <v>0.45454545454545459</v>
      </c>
      <c r="J21" s="37">
        <f t="shared" si="5"/>
        <v>65.454545454545467</v>
      </c>
      <c r="L21" s="37">
        <f t="shared" si="6"/>
        <v>23.890909090909094</v>
      </c>
    </row>
    <row r="22" spans="1:17" x14ac:dyDescent="0.25">
      <c r="G22" s="42" t="s">
        <v>36</v>
      </c>
      <c r="H22" s="42" t="s">
        <v>36</v>
      </c>
      <c r="I22" s="42" t="s">
        <v>36</v>
      </c>
      <c r="J22" s="41" t="s">
        <v>36</v>
      </c>
      <c r="L22" s="41" t="s">
        <v>36</v>
      </c>
    </row>
    <row r="23" spans="1:17" ht="15" thickBot="1" x14ac:dyDescent="0.3">
      <c r="B23" s="1" t="s">
        <v>13</v>
      </c>
      <c r="G23" s="5">
        <f>((G19*$D$19)+(G20*$D$20)+(G21*$D$21))/$E$4</f>
        <v>0.23050941770647654</v>
      </c>
      <c r="H23" s="5">
        <f t="shared" ref="H23:L23" si="7">((H19*$D$19)+(H20*$D$20)+(H21*$D$21))/$E$4</f>
        <v>1.6596678074866313</v>
      </c>
      <c r="I23" s="5">
        <f t="shared" si="7"/>
        <v>0.50091235900178277</v>
      </c>
      <c r="J23" s="38">
        <f t="shared" si="7"/>
        <v>72.131379696256715</v>
      </c>
      <c r="L23" s="38">
        <f t="shared" si="7"/>
        <v>26.327953589133699</v>
      </c>
    </row>
    <row r="24" spans="1:17" s="3" customFormat="1" ht="43.8" thickBot="1" x14ac:dyDescent="0.3">
      <c r="B24" s="4" t="s">
        <v>6</v>
      </c>
      <c r="C24" s="15" t="s">
        <v>43</v>
      </c>
      <c r="D24" s="43" t="s">
        <v>44</v>
      </c>
      <c r="E24" s="43" t="s">
        <v>45</v>
      </c>
    </row>
    <row r="25" spans="1:17" ht="14.4" x14ac:dyDescent="0.25">
      <c r="A25" s="1" t="s">
        <v>12</v>
      </c>
      <c r="B25" s="7">
        <v>0.8</v>
      </c>
      <c r="C25" s="2">
        <f>B25*(C3*C2*C1)</f>
        <v>14.976000000000003</v>
      </c>
      <c r="D25" s="44">
        <f>365*24*60/C4</f>
        <v>52560</v>
      </c>
      <c r="E25" s="1">
        <f>C25/D25*1000</f>
        <v>0.28493150684931512</v>
      </c>
      <c r="G25" s="9">
        <f>($E$3*B25)/G23</f>
        <v>9023.4924919579935</v>
      </c>
      <c r="H25" s="10" t="s">
        <v>48</v>
      </c>
    </row>
    <row r="26" spans="1:17" ht="14.4" x14ac:dyDescent="0.25">
      <c r="B26" s="2"/>
      <c r="C26" s="2"/>
      <c r="D26" s="2"/>
      <c r="G26" s="11">
        <f>G25/24</f>
        <v>375.97885383158308</v>
      </c>
      <c r="H26" s="12" t="s">
        <v>50</v>
      </c>
    </row>
    <row r="27" spans="1:17" s="3" customFormat="1" ht="15" thickBot="1" x14ac:dyDescent="0.3">
      <c r="B27" s="4"/>
      <c r="C27" s="49" t="s">
        <v>23</v>
      </c>
      <c r="D27" s="49"/>
      <c r="G27" s="13">
        <f>G26/365</f>
        <v>1.0300790515933782</v>
      </c>
      <c r="H27" s="14" t="s">
        <v>49</v>
      </c>
    </row>
    <row r="28" spans="1:17" x14ac:dyDescent="0.25">
      <c r="A28" s="1" t="s">
        <v>16</v>
      </c>
      <c r="B28" s="2"/>
      <c r="C28" s="2"/>
      <c r="D28" s="2">
        <f>($E$3*$B$25)/($L$7+G5)</f>
        <v>344.4444444444444</v>
      </c>
    </row>
    <row r="29" spans="1:17" x14ac:dyDescent="0.25">
      <c r="A29" s="1" t="s">
        <v>17</v>
      </c>
      <c r="B29" s="2"/>
      <c r="C29" s="2"/>
      <c r="D29" s="2">
        <f>($E$3*$B$25)/($L$7+G6)</f>
        <v>114.81481481481481</v>
      </c>
    </row>
    <row r="30" spans="1:17" x14ac:dyDescent="0.25">
      <c r="A30" s="1" t="s">
        <v>21</v>
      </c>
      <c r="B30" s="2"/>
      <c r="C30" s="2"/>
      <c r="D30" s="2">
        <f>($E$3*$B$25)/($L$7+G7)</f>
        <v>68.888888888888886</v>
      </c>
    </row>
    <row r="33" spans="2:4" s="3" customFormat="1" ht="14.4" x14ac:dyDescent="0.25">
      <c r="D33" s="4"/>
    </row>
    <row r="34" spans="2:4" x14ac:dyDescent="0.25">
      <c r="B34" s="50" t="s">
        <v>24</v>
      </c>
      <c r="C34" s="50"/>
      <c r="D34" s="2"/>
    </row>
    <row r="35" spans="2:4" x14ac:dyDescent="0.25">
      <c r="B35" s="51" t="s">
        <v>25</v>
      </c>
      <c r="C35" s="51"/>
      <c r="D35" s="2"/>
    </row>
    <row r="36" spans="2:4" x14ac:dyDescent="0.25">
      <c r="B36" s="45" t="s">
        <v>26</v>
      </c>
      <c r="C36" s="45"/>
      <c r="D36" s="2"/>
    </row>
  </sheetData>
  <mergeCells count="6">
    <mergeCell ref="B36:C36"/>
    <mergeCell ref="B17:D17"/>
    <mergeCell ref="B9:D9"/>
    <mergeCell ref="C27:D27"/>
    <mergeCell ref="B34:C34"/>
    <mergeCell ref="B35:C3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"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Calculations</vt:lpstr>
      <vt:lpstr>Measured</vt:lpstr>
    </vt:vector>
  </TitlesOfParts>
  <Company>HSR Hochschule für Technik Rapperswil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Tüscher</dc:creator>
  <cp:lastModifiedBy>Adrian Tüscher</cp:lastModifiedBy>
  <dcterms:created xsi:type="dcterms:W3CDTF">2020-07-24T06:31:20Z</dcterms:created>
  <dcterms:modified xsi:type="dcterms:W3CDTF">2020-11-27T15:41:32Z</dcterms:modified>
</cp:coreProperties>
</file>